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FD6EBC32-B1E6-4617-AD3F-80BDC811D0E0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<sst xmlns="http://schemas.openxmlformats.org/spreadsheetml/2006/main" count="285" uniqueCount="200">
  <si>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</si>
  <si>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</si>
  <si>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</si>
  <si>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</si>
  <si>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</si>
  <si>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</si>
  <si>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</si>
  <si>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</si>
  <si>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</si>
  <si>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</si>
  <si>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</si>
  <si>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</si>
  <si>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</si>
  <si>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</si>
  <si>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</si>
  <si>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</si>
  <si>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</si>
  <si>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</si>
  <si>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</si>
  <si>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</si>
  <si>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</si>
  <si>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</si>
  <si>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</si>
  <si>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</si>
  <si>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</si>
  <si>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</si>
  <si>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</si>
  <si>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</si>
  <si>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</si>
  <si>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</si>
  <si>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</si>
  <si>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</si>
  <si>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</si>
  <si>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</si>
  <si>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</si>
  <si>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</si>
  <si>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</si>
  <si>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</si>
  <si>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</si>
  <si>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</si>
  <si>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</si>
  <si>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</si>
  <si>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</si>
  <si>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</si>
  <si>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</si>
  <si>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</si>
  <si>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</si>
  <si>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</si>
  <si>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</si>
  <si>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</si>
  <si>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</si>
  <si>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</si>
  <si>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</si>
  <si>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</si>
  <si>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</si>
  <si>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</si>
  <si>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</si>
  <si>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</si>
  <si>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</si>
  <si>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</si>
  <si>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</si>
  <si>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</si>
  <si>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</si>
  <si>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</si>
  <si>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</si>
  <si>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</si>
  <si>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</si>
  <si>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</si>
  <si>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</si>
  <si>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</si>
  <si>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</si>
  <si>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</si>
  <si>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</si>
  <si>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</si>
  <si>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</si>
  <si>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</si>
  <si>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</si>
  <si>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</si>
  <si>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</si>
  <si>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</si>
  <si>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</si>
  <si>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</si>
  <si>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</si>
  <si>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</si>
  <si>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</si>
  <si>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</si>
  <si>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</si>
  <si>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</si>
  <si>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</si>
  <si>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</si>
  <si>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</si>
  <si>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</si>
  <si>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</si>
  <si>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</si>
  <si>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</si>
  <si>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</si>
  <si>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</si>
  <si>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</si>
  <si>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</si>
  <si>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</si>
  <si>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</si>
  <si>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</si>
  <si>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</si>
  <si>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</si>
  <si>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</si>
  <si>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</si>
  <si>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</si>
  <si>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</si>
  <si>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</si>
  <si>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</si>
  <si>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</si>
  <si>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</si>
  <si>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</si>
  <si>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</si>
  <si>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</si>
  <si>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</si>
  <si>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</si>
  <si>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</si>
  <si>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</si>
  <si>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</si>
  <si>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</si>
  <si>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</si>
  <si>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</si>
  <si>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</si>
  <si>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</si>
  <si>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</si>
  <si>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</si>
  <si>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</si>
  <si>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</si>
  <si>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</si>
  <si>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</si>
  <si>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</si>
  <si>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</si>
  <si>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</si>
  <si>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</si>
  <si>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</si>
  <si>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</si>
  <si>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</si>
  <si>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</si>
  <si>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</si>
  <si>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</si>
  <si>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</si>
  <si>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</si>
  <si>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</si>
  <si>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</si>
  <si>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</si>
  <si>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</si>
  <si>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</si>
  <si>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</si>
  <si>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</si>
  <si>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</si>
  <si>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</si>
  <si>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</si>
  <si>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</si>
  <si>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</si>
  <si>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</si>
  <si>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</si>
  <si>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</si>
  <si>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</si>
  <si>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</si>
  <si>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</si>
  <si>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</si>
  <si>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</si>
  <si>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</si>
  <si>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</si>
  <si>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</si>
  <si>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</si>
  <si>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</si>
  <si>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</si>
  <si>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</si>
  <si>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</si>
  <si>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</si>
  <si>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</si>
  <si>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</si>
  <si>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</si>
  <si>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</si>
  <si>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</si>
  <si>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</si>
  <si>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</si>
  <si>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</si>
  <si>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</si>
  <si>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</si>
  <si>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</si>
  <si>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</si>
  <si>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</si>
  <si>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</si>
  <si>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</si>
  <si>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</si>
  <si>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</si>
  <si>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</si>
  <si>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</si>
  <si>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Hohenlinden</t>
  </si>
  <si>
    <t>Stand: 15.02.2023</t>
  </si>
  <si>
    <t>Die Gemeinde Hohenlinden setzt sich folgende Ziele:</t>
  </si>
  <si>
    <t>Altmühlhausen</t>
  </si>
  <si>
    <t>Birkach</t>
  </si>
  <si>
    <t>Hohenlinden</t>
  </si>
  <si>
    <t>Kreith</t>
  </si>
  <si>
    <t>Kronacker</t>
  </si>
  <si>
    <t>Niederkaging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</si>
</sst>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19657.560000000001</c:v>
                </c:pt>
                <c:pt idx="1">
                  <c:v>18143.640297397771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21135.49</c:v>
                </c:pt>
                <c:pt idx="1">
                  <c:v>28326.539388449521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253.8</c:v>
                </c:pt>
                <c:pt idx="1">
                  <c:v>275.30288257301874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12484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28563</c:v>
                </c:pt>
                <c:pt idx="1">
                  <c:v>46745.482568420317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41047</c:v>
                </c:pt>
                <c:pt idx="1">
                  <c:v>46745.482568420317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5382.97</c:v>
                </c:pt>
                <c:pt idx="1">
                  <c:v>4333.7761024661986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7450.03</c:v>
                </c:pt>
                <c:pt idx="1">
                  <c:v>8356.7509270277751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198.3</c:v>
                </c:pt>
                <c:pt idx="1">
                  <c:v>135.74531292357534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7724.8246153846158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3326</c:v>
                </c:pt>
                <c:pt idx="1">
                  <c:v>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9879.32</c:v>
                </c:pt>
                <c:pt idx="1">
                  <c:v>17225.096957802161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13205.32</c:v>
                </c:pt>
                <c:pt idx="1">
                  <c:v>20551.096957802161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3445.0193915604327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11218.915816420875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46.745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41.047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14 %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46745.482568420317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46745.482568420317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46745.482568420317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19657.560000000001</v>
      </c>
      <c r="E78" s="177">
        <f>LOOKUP('Basis-Annahmen'!E5,'Nachfrage &amp; Erzeugung'!D36:G36,'Nachfrage &amp; Erzeugung'!D38:G38)</f>
        <v>18143.640297397771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21135.49</v>
      </c>
      <c r="E79" s="177">
        <f>LOOKUP('Basis-Annahmen'!E5,'Nachfrage &amp; Erzeugung'!D36:G36,'Nachfrage &amp; Erzeugung'!D39:G39)</f>
        <v>28326.539388449521</v>
      </c>
      <c r="F79" s="175"/>
      <c r="G79" s="176" t="s">
        <v>55</v>
      </c>
      <c r="H79" s="177">
        <f>'Nachfrage &amp; Erzeugung'!C46</f>
        <v>12484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253.8</v>
      </c>
      <c r="E80" s="177">
        <f>LOOKUP('Basis-Annahmen'!E5,'Nachfrage &amp; Erzeugung'!D36:G36,'Nachfrage &amp; Erzeugung'!D40:G40)</f>
        <v>275.30288257301874</v>
      </c>
      <c r="F80" s="175"/>
      <c r="G80" s="176" t="str">
        <f>'Nachfrage &amp; Erzeugung'!B47</f>
        <v>Nicht erneuerbare Wärmeerzeugung</v>
      </c>
      <c r="H80" s="177">
        <f>MAX(0,H82-H79)</f>
        <v>28563</v>
      </c>
      <c r="I80" s="177">
        <f>MAX(0,I82-I79)</f>
        <v>46745.482568420317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41047</v>
      </c>
      <c r="E82" s="177">
        <f>LOOKUP('Basis-Annahmen'!E5,'Nachfrage &amp; Erzeugung'!D36:G36,'Nachfrage &amp; Erzeugung'!D37:G37)</f>
        <v>46745.482568420317</v>
      </c>
      <c r="F82" s="175"/>
      <c r="G82" s="176" t="s">
        <v>82</v>
      </c>
      <c r="H82" s="177">
        <f>'Nachfrage &amp; Erzeugung'!C37</f>
        <v>41047</v>
      </c>
      <c r="I82" s="177">
        <f>LOOKUP('Basis-Annahmen'!E5,'Nachfrage &amp; Erzeugung'!D36:G36,'Nachfrage &amp; Erzeugung'!D37:G37)</f>
        <v>46745.482568420317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0.13882823515531748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20.551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56 %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38 %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99000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20260.5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0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3326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3326</v>
      </c>
      <c r="G32" s="256"/>
      <c r="H32" s="248">
        <f>SUM(H27:H31)</f>
        <v>119260.5</v>
      </c>
      <c r="I32" s="248"/>
      <c r="J32" s="245">
        <f>IF(H32&gt;0,F32/H32,0)</f>
        <v>2.7888529731134783E-2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5382.97</v>
      </c>
      <c r="E76" s="186">
        <f>LOOKUP('Basis-Annahmen'!E5,'Nachfrage &amp; Erzeugung'!D9:G9,'Nachfrage &amp; Erzeugung'!D11:G11)</f>
        <v>4333.7761024661986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7450.03</v>
      </c>
      <c r="E77" s="186">
        <f>LOOKUP('Basis-Annahmen'!E5,'Nachfrage &amp; Erzeugung'!D9:G9,'Nachfrage &amp; Erzeugung'!D12:G12)</f>
        <v>8356.7509270277751</v>
      </c>
      <c r="F77" s="175"/>
      <c r="G77" s="176" t="s">
        <v>103</v>
      </c>
      <c r="H77" s="186">
        <f>'Nachfrage &amp; Erzeugung'!C21</f>
        <v>3326</v>
      </c>
      <c r="I77" s="186">
        <f>F31</f>
        <v>3326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198.3</v>
      </c>
      <c r="E78" s="186">
        <f>LOOKUP('Basis-Annahmen'!E5,'Nachfrage &amp; Erzeugung'!D9:G9,'Nachfrage &amp; Erzeugung'!D13:G13)</f>
        <v>135.74531292357534</v>
      </c>
      <c r="F78" s="175"/>
      <c r="G78" s="176" t="str">
        <f>'Nachfrage &amp; Erzeugung'!B29</f>
        <v>Nicht aus lokalen EE gedeckter Strombedarf</v>
      </c>
      <c r="H78" s="186">
        <f>'Nachfrage &amp; Erzeugung'!C29</f>
        <v>9879.32</v>
      </c>
      <c r="I78" s="186">
        <f>MAX(0,E82-SUM(I79:I82)-I77)</f>
        <v>17225.096957802161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7724.8246153846158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13205.32</v>
      </c>
      <c r="E82" s="186">
        <f>LOOKUP('Basis-Annahmen'!E5,'Nachfrage &amp; Erzeugung'!D9:G9,'Nachfrage &amp; Erzeugung'!D10:G10)</f>
        <v>20551.096957802161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0.55627405907635419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0.37588380957211676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3540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17225.096957802161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3445.0193915604327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0.97316931964983977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46745.482568420317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11218.915816420875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3.1691852588759533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5.6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14663.935207981307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4.1423545785257927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3445.0193915604327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11218.915816420875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1.9035532994923859E-2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1.5651438240270727E-2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3250</v>
      </c>
      <c r="F34" s="69">
        <v>3330</v>
      </c>
      <c r="G34" s="69">
        <v>3400</v>
      </c>
      <c r="H34" s="69">
        <v>3470</v>
      </c>
      <c r="I34" s="70">
        <v>3540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2.4615384615384615E-2</v>
      </c>
      <c r="G36" s="67">
        <f>(G34-F34)/F34</f>
        <v>2.1021021021021023E-2</v>
      </c>
      <c r="H36" s="67">
        <f>(H34-G34)/G34</f>
        <v>2.0588235294117647E-2</v>
      </c>
      <c r="I36" s="68">
        <f>(I34-H34)/H34</f>
        <v>2.0172910662824207E-2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44.009293680297397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0.72738461538461541</v>
      </c>
      <c r="F44" s="73">
        <f>E44*(1+(F13*(F43-E43)))</f>
        <v>0.72738461538461541</v>
      </c>
      <c r="G44" s="73">
        <f t="shared" ref="G44:I44" si="0">F44*(1+(G13*(G43-F43)))</f>
        <v>0.72738461538461541</v>
      </c>
      <c r="H44" s="73">
        <f t="shared" si="0"/>
        <v>0.72738461538461541</v>
      </c>
      <c r="I44" s="190">
        <f t="shared" si="0"/>
        <v>0.72738461538461541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2364</v>
      </c>
      <c r="F45" s="36">
        <f>F44*F34</f>
        <v>2422.1907692307691</v>
      </c>
      <c r="G45" s="36">
        <f t="shared" ref="G45:I45" si="1">G44*G34</f>
        <v>2473.1076923076926</v>
      </c>
      <c r="H45" s="36">
        <f t="shared" si="1"/>
        <v>2524.0246153846156</v>
      </c>
      <c r="I45" s="74">
        <f t="shared" si="1"/>
        <v>2574.9415384615386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45</v>
      </c>
      <c r="F46" s="36">
        <f>F$45*F$14</f>
        <v>121.10953846153846</v>
      </c>
      <c r="G46" s="36">
        <f>G$45*G$14</f>
        <v>741.93230769230775</v>
      </c>
      <c r="H46" s="36">
        <f>H$45*H$14</f>
        <v>1514.4147692307693</v>
      </c>
      <c r="I46" s="74">
        <f>I$45*I$14</f>
        <v>2574.9415384615386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37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13205.32</v>
      </c>
      <c r="D10" s="94">
        <f>D11+D12+D13+D14+D15</f>
        <v>12885.94465086618</v>
      </c>
      <c r="E10" s="94">
        <f>E11+E12+E13+E14+D15</f>
        <v>14818.592380588183</v>
      </c>
      <c r="F10" s="94">
        <f>F11+F12+F13+F14+D15</f>
        <v>17237.124739155435</v>
      </c>
      <c r="G10" s="95">
        <f>G11+G12+G13+G14+D15</f>
        <v>20551.096957802161</v>
      </c>
      <c r="H10" s="14"/>
    </row>
    <row r="11" spans="1:8" ht="19.5" customHeight="1" x14ac:dyDescent="0.2">
      <c r="B11" s="88" t="s">
        <v>6</v>
      </c>
      <c r="C11" s="96">
        <v>5382.97</v>
      </c>
      <c r="D11" s="97">
        <f>C11/'Basis-Annahmen'!E34*((1-'Basis-Annahmen'!F19)^(D9-C9))*'Basis-Annahmen'!F34</f>
        <v>5114.0383970495895</v>
      </c>
      <c r="E11" s="97">
        <f>D11/'Basis-Annahmen'!F34*((1-'Basis-Annahmen'!G19)^5)*'Basis-Annahmen'!G34</f>
        <v>4841.4987100954395</v>
      </c>
      <c r="F11" s="97">
        <f>E11/'Basis-Annahmen'!G34*((1-'Basis-Annahmen'!H19)^5)*'Basis-Annahmen'!H34</f>
        <v>4581.5405075390736</v>
      </c>
      <c r="G11" s="98">
        <f>F11/'Basis-Annahmen'!H34*((1-'Basis-Annahmen'!I19)^5)*'Basis-Annahmen'!I34</f>
        <v>4333.7761024661986</v>
      </c>
      <c r="H11" s="14"/>
    </row>
    <row r="12" spans="1:8" ht="19.5" customHeight="1" x14ac:dyDescent="0.2">
      <c r="B12" s="88" t="s">
        <v>104</v>
      </c>
      <c r="C12" s="96">
        <v>7450.03</v>
      </c>
      <c r="D12" s="97">
        <f>((1-'Basis-Annahmen'!F20)^(D9-C9))*((1+'Basis-Annahmen'!F9)^(D9-C9))*C12</f>
        <v>7238.2906811356652</v>
      </c>
      <c r="E12" s="97">
        <f>((1-'Basis-Annahmen'!G20)^5)*((1+'Basis-Annahmen'!G9)^5)*D12</f>
        <v>7593.403870473051</v>
      </c>
      <c r="F12" s="97">
        <f>((1-'Basis-Annahmen'!H20)^5)*((1+'Basis-Annahmen'!H9)^5)*E12</f>
        <v>7965.9390428167326</v>
      </c>
      <c r="G12" s="98">
        <f>((1-'Basis-Annahmen'!I20)^5)*((1+'Basis-Annahmen'!I9)^5)*F12</f>
        <v>8356.7509270277751</v>
      </c>
      <c r="H12" s="14"/>
    </row>
    <row r="13" spans="1:8" ht="19.5" customHeight="1" x14ac:dyDescent="0.2">
      <c r="B13" s="88" t="s">
        <v>7</v>
      </c>
      <c r="C13" s="96">
        <v>198.3</v>
      </c>
      <c r="D13" s="97">
        <f>C13*((1-'Basis-Annahmen'!F20)^(D9-C9))</f>
        <v>170.28695729630999</v>
      </c>
      <c r="E13" s="97">
        <f>D13*((1-'Basis-Annahmen'!G20)^5)</f>
        <v>157.89287694276911</v>
      </c>
      <c r="F13" s="97">
        <f>E13*((1-'Basis-Annahmen'!H20)^5)</f>
        <v>146.4008811073204</v>
      </c>
      <c r="G13" s="98">
        <f>F13*((1-'Basis-Annahmen'!I20)^5)</f>
        <v>135.74531292357534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363.32861538461538</v>
      </c>
      <c r="E14" s="97">
        <f>'Basis-Annahmen'!G46*'Basis-Annahmen'!G51+'Basis-Annahmen'!G47*'Basis-Annahmen'!G52</f>
        <v>2225.7969230769231</v>
      </c>
      <c r="F14" s="97">
        <f>'Basis-Annahmen'!H46*'Basis-Annahmen'!H51+'Basis-Annahmen'!H47*'Basis-Annahmen'!H52</f>
        <v>4543.2443076923082</v>
      </c>
      <c r="G14" s="98">
        <f>'Basis-Annahmen'!I46*'Basis-Annahmen'!I51+'Basis-Annahmen'!I47*'Basis-Annahmen'!I52</f>
        <v>7724.8246153846158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-2.4185354776243159E-2</v>
      </c>
      <c r="E16" s="101">
        <f>(E10-$C$10)/$C$10</f>
        <v>0.12216836703602664</v>
      </c>
      <c r="F16" s="101">
        <f t="shared" ref="F16" si="0">(F10-$C$10)/$C$10</f>
        <v>0.30531670108376285</v>
      </c>
      <c r="G16" s="102">
        <f>(G10-$C$10)/$C$10</f>
        <v>0.55627405907635419</v>
      </c>
      <c r="H16" s="14"/>
    </row>
    <row r="17" spans="1:10" ht="19.5" customHeight="1" x14ac:dyDescent="0.2">
      <c r="B17" s="89" t="s">
        <v>97</v>
      </c>
      <c r="C17" s="107"/>
      <c r="D17" s="104">
        <f>D14/D10</f>
        <v>2.8195729938991533E-2</v>
      </c>
      <c r="E17" s="104">
        <f>E14/E10</f>
        <v>0.15020299269400486</v>
      </c>
      <c r="F17" s="104">
        <f>F14/F10</f>
        <v>0.26357321052344562</v>
      </c>
      <c r="G17" s="105">
        <f>G14/G10</f>
        <v>0.37588380957211676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3326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2647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679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9879.32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41047</v>
      </c>
      <c r="D37" s="94">
        <f>SUM(D38:D40)</f>
        <v>42368.838647205303</v>
      </c>
      <c r="E37" s="94">
        <f>SUM(E38:E40)</f>
        <v>43724.003483230183</v>
      </c>
      <c r="F37" s="94">
        <f t="shared" ref="F37:G37" si="1">SUM(F38:F40)</f>
        <v>45164.159450895742</v>
      </c>
      <c r="G37" s="95">
        <f t="shared" si="1"/>
        <v>46745.482568420317</v>
      </c>
      <c r="H37" s="14"/>
    </row>
    <row r="38" spans="1:8" ht="19.5" customHeight="1" x14ac:dyDescent="0.2">
      <c r="A38" s="14"/>
      <c r="B38" s="113" t="s">
        <v>6</v>
      </c>
      <c r="C38" s="96">
        <v>19657.560000000001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19368.198894052046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18990.819200743495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18567.229749070633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18143.640297397771</v>
      </c>
      <c r="H38" s="14"/>
    </row>
    <row r="39" spans="1:8" ht="19.5" customHeight="1" x14ac:dyDescent="0.2">
      <c r="A39" s="14"/>
      <c r="B39" s="113" t="s">
        <v>104</v>
      </c>
      <c r="C39" s="96">
        <v>21135.49</v>
      </c>
      <c r="D39" s="97">
        <f>C39*((1-'Basis-Annahmen'!F$24)^(D36-C36))*((1+'Basis-Annahmen'!F$9)^(D36-C36))</f>
        <v>22740.898552546121</v>
      </c>
      <c r="E39" s="97">
        <f>((1-'Basis-Annahmen'!G$24)^5)*((1+'Basis-Annahmen'!G$9)^5)*'Nachfrage &amp; Erzeugung'!D39</f>
        <v>24468.250652206036</v>
      </c>
      <c r="F39" s="97">
        <f>((1-'Basis-Annahmen'!H$24)^5)*((1+'Basis-Annahmen'!H$9)^5)*'Nachfrage &amp; Erzeugung'!E39</f>
        <v>26326.808881179844</v>
      </c>
      <c r="G39" s="98">
        <f>((1-'Basis-Annahmen'!I$24)^5)*((1+'Basis-Annahmen'!I$9)^5)*'Nachfrage &amp; Erzeugung'!F39</f>
        <v>28326.539388449521</v>
      </c>
      <c r="H39" s="14"/>
    </row>
    <row r="40" spans="1:8" ht="19.5" customHeight="1" x14ac:dyDescent="0.2">
      <c r="A40" s="14"/>
      <c r="B40" s="113" t="s">
        <v>7</v>
      </c>
      <c r="C40" s="96">
        <v>253.8</v>
      </c>
      <c r="D40" s="97">
        <f>C40+(C40*'Basis-Annahmen'!F36)*((1-'Basis-Annahmen'!F24)^(D36-C36))</f>
        <v>259.74120060712914</v>
      </c>
      <c r="E40" s="97">
        <f>D40+(D40*'Basis-Annahmen'!G36)*((1-'Basis-Annahmen'!G24)^5)</f>
        <v>264.93363028065835</v>
      </c>
      <c r="F40" s="97">
        <f>E40+(E40*'Basis-Annahmen'!H36)*((1-'Basis-Annahmen'!H24)^5)</f>
        <v>270.12082064526288</v>
      </c>
      <c r="G40" s="98">
        <f>F40+(F40*'Basis-Annahmen'!I36)*((1-'Basis-Annahmen'!I24)^5)</f>
        <v>275.30288257301874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3.2203051312039918E-2</v>
      </c>
      <c r="E42" s="104">
        <f>(E37-$C$37)/$C$37</f>
        <v>6.5218005779476756E-2</v>
      </c>
      <c r="F42" s="104">
        <f>(F37-$C$37)/$C$37</f>
        <v>0.10030354108450659</v>
      </c>
      <c r="G42" s="105">
        <f>(G37-$C$37)/$C$37</f>
        <v>0.13882823515531748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12484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28563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0.13934616770662783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9.5196532978577816E-2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0.5885013511929903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7.7987869536670487E-2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6.9057962412456056E-2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2.9910116172677578E-2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99000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11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20260.5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135070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0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0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